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13-Week Forecast" sheetId="2" state="visible" r:id="rId2"/>
    <sheet xmlns:r="http://schemas.openxmlformats.org/officeDocument/2006/relationships" name="Setup" sheetId="3" state="visible" r:id="rId3"/>
    <sheet xmlns:r="http://schemas.openxmlformats.org/officeDocument/2006/relationships" name="Retainage" sheetId="4" state="visible" r:id="rId4"/>
  </sheets>
  <definedNames>
    <definedName name="_xlnm.Print_Titles" localSheetId="1">'13-Week Forecast'!$5:$6,'13-Week Forecast'!$A:$A</definedName>
    <definedName name="_xlnm.Print_Titles" localSheetId="3">'Retainage'!$5:$5</definedName>
  </definedNames>
  <calcPr calcId="124519" fullCalcOnLoad="1"/>
</workbook>
</file>

<file path=xl/styles.xml><?xml version="1.0" encoding="utf-8"?>
<styleSheet xmlns="http://schemas.openxmlformats.org/spreadsheetml/2006/main">
  <numFmts count="4">
    <numFmt numFmtId="164" formatCode="$#,##0;($#,##0);&quot;-&quot;"/>
    <numFmt numFmtId="165" formatCode="yyyy-mm-dd"/>
    <numFmt numFmtId="166" formatCode="mm/dd/yyyy"/>
    <numFmt numFmtId="167" formatCode="mm/dd/yy"/>
  </numFmts>
  <fonts count="13">
    <font>
      <name val="Calibri"/>
      <family val="2"/>
      <color theme="1"/>
      <sz val="11"/>
      <scheme val="minor"/>
    </font>
    <font>
      <name val="Arial"/>
      <b val="1"/>
      <color rgb="00336600"/>
      <sz val="14"/>
    </font>
    <font>
      <name val="Arial"/>
      <b val="1"/>
      <sz val="10"/>
    </font>
    <font>
      <name val="Arial"/>
      <sz val="10"/>
    </font>
    <font>
      <name val="Arial"/>
      <color rgb="005A6B52"/>
      <sz val="9"/>
    </font>
    <font>
      <name val="Arial"/>
      <b val="1"/>
      <color rgb="009C5700"/>
      <sz val="9"/>
    </font>
    <font>
      <name val="Arial"/>
      <color rgb="000000FF"/>
      <sz val="10"/>
    </font>
    <font>
      <name val="Arial"/>
      <b val="1"/>
      <color rgb="00FFFFFF"/>
      <sz val="10"/>
    </font>
    <font>
      <name val="Arial"/>
      <b val="1"/>
      <sz val="11"/>
    </font>
    <font>
      <name val="Arial"/>
      <color rgb="00FFFFFF"/>
      <sz val="8"/>
    </font>
    <font>
      <name val="Arial"/>
      <b val="1"/>
      <color rgb="00336600"/>
      <sz val="10"/>
    </font>
    <font>
      <name val="Arial"/>
      <b val="1"/>
      <color rgb="00FFFFFF"/>
      <sz val="11"/>
    </font>
    <font>
      <name val="Arial"/>
      <b val="1"/>
      <sz val="9"/>
    </font>
  </fonts>
  <fills count="6">
    <fill>
      <patternFill/>
    </fill>
    <fill>
      <patternFill patternType="gray125"/>
    </fill>
    <fill>
      <patternFill patternType="solid">
        <fgColor rgb="00FFF6D5"/>
      </patternFill>
    </fill>
    <fill>
      <patternFill patternType="solid">
        <fgColor rgb="00336600"/>
      </patternFill>
    </fill>
    <fill>
      <patternFill patternType="solid">
        <fgColor rgb="00EEF6E6"/>
      </patternFill>
    </fill>
    <fill>
      <patternFill patternType="solid">
        <fgColor rgb="00DDEBCF"/>
      </patternFill>
    </fill>
  </fills>
  <borders count="3">
    <border>
      <left/>
      <right/>
      <top/>
      <bottom/>
      <diagonal/>
    </border>
    <border>
      <left style="thin">
        <color rgb="00C9D6BE"/>
      </left>
      <right style="thin">
        <color rgb="00C9D6BE"/>
      </right>
      <top style="thin">
        <color rgb="00C9D6BE"/>
      </top>
      <bottom style="thin">
        <color rgb="00C9D6BE"/>
      </bottom>
    </border>
    <border>
      <top style="thin">
        <color rgb="00336600"/>
      </top>
      <bottom style="double">
        <color rgb="00336600"/>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8" fillId="0" borderId="0" pivotButton="0" quotePrefix="0" xfId="0"/>
    <xf numFmtId="0" fontId="5" fillId="0" borderId="0" pivotButton="0" quotePrefix="0" xfId="0"/>
    <xf numFmtId="0" fontId="9" fillId="0" borderId="0" pivotButton="0" quotePrefix="0" xfId="0"/>
    <xf numFmtId="0" fontId="7" fillId="3" borderId="1" applyAlignment="1" pivotButton="0" quotePrefix="0" xfId="0">
      <alignment horizontal="center" vertical="center" wrapText="1"/>
    </xf>
    <xf numFmtId="0" fontId="2" fillId="0" borderId="0" pivotButton="0" quotePrefix="0" xfId="0"/>
    <xf numFmtId="167" fontId="2" fillId="4" borderId="0" applyAlignment="1" pivotButton="0" quotePrefix="0" xfId="0">
      <alignment horizontal="center"/>
    </xf>
    <xf numFmtId="0" fontId="2" fillId="0" borderId="1" pivotButton="0" quotePrefix="0" xfId="0"/>
    <xf numFmtId="164" fontId="2" fillId="4" borderId="1" pivotButton="0" quotePrefix="0" xfId="0"/>
    <xf numFmtId="0" fontId="0" fillId="0" borderId="1" pivotButton="0" quotePrefix="0" xfId="0"/>
    <xf numFmtId="0" fontId="10" fillId="5" borderId="1" pivotButton="0" quotePrefix="0" xfId="0"/>
    <xf numFmtId="0" fontId="0" fillId="5" borderId="1" pivotButton="0" quotePrefix="0" xfId="0"/>
    <xf numFmtId="0" fontId="3" fillId="0" borderId="1" pivotButton="0" quotePrefix="0" xfId="0"/>
    <xf numFmtId="164" fontId="6" fillId="2" borderId="1" pivotButton="0" quotePrefix="0" xfId="0"/>
    <xf numFmtId="164" fontId="6" fillId="0" borderId="1" pivotButton="0" quotePrefix="0" xfId="0"/>
    <xf numFmtId="164" fontId="3" fillId="4" borderId="1" pivotButton="0" quotePrefix="0" xfId="0"/>
    <xf numFmtId="164" fontId="2" fillId="4" borderId="2" pivotButton="0" quotePrefix="0" xfId="0"/>
    <xf numFmtId="0" fontId="11" fillId="3" borderId="1" pivotButton="0" quotePrefix="0" xfId="0"/>
    <xf numFmtId="164" fontId="8" fillId="4" borderId="2" pivotButton="0" quotePrefix="0" xfId="0"/>
    <xf numFmtId="164" fontId="8" fillId="4" borderId="1" pivotButton="0" quotePrefix="0" xfId="0"/>
    <xf numFmtId="0" fontId="12" fillId="0" borderId="0" applyAlignment="1" pivotButton="0" quotePrefix="0" xfId="0">
      <alignment horizontal="center"/>
    </xf>
    <xf numFmtId="164" fontId="2" fillId="4" borderId="0" pivotButton="0" quotePrefix="0" xfId="0"/>
    <xf numFmtId="0" fontId="2" fillId="4" borderId="0" pivotButton="0" quotePrefix="0" xfId="0"/>
    <xf numFmtId="0" fontId="6" fillId="2" borderId="1" applyAlignment="1" pivotButton="0" quotePrefix="0" xfId="0">
      <alignment horizontal="left"/>
    </xf>
    <xf numFmtId="164" fontId="6" fillId="2" borderId="1" applyAlignment="1" pivotButton="0" quotePrefix="0" xfId="0">
      <alignment horizontal="left"/>
    </xf>
    <xf numFmtId="166" fontId="6" fillId="2" borderId="1" applyAlignment="1" pivotButton="0" quotePrefix="0" xfId="0">
      <alignment horizontal="left"/>
    </xf>
    <xf numFmtId="0" fontId="6" fillId="2" borderId="1" pivotButton="0" quotePrefix="0" xfId="0"/>
    <xf numFmtId="9" fontId="6" fillId="2" borderId="1" applyAlignment="1" pivotButton="0" quotePrefix="0" xfId="0">
      <alignment horizontal="center"/>
    </xf>
    <xf numFmtId="0" fontId="6" fillId="2" borderId="1" applyAlignment="1" pivotButton="0" quotePrefix="0" xfId="0">
      <alignment horizontal="center"/>
    </xf>
    <xf numFmtId="0" fontId="6" fillId="0" borderId="1" pivotButton="0" quotePrefix="0" xfId="0"/>
    <xf numFmtId="9" fontId="6" fillId="0" borderId="1" applyAlignment="1" pivotButton="0" quotePrefix="0" xfId="0">
      <alignment horizontal="center"/>
    </xf>
    <xf numFmtId="0" fontId="6" fillId="0" borderId="1" applyAlignment="1" pivotButton="0" quotePrefix="0" xfId="0">
      <alignment horizontal="center"/>
    </xf>
    <xf numFmtId="164" fontId="2" fillId="0" borderId="2" pivotButton="0" quotePrefix="0" xfId="0"/>
  </cellXfs>
  <cellStyles count="1">
    <cellStyle name="Normal" xfId="0" builtinId="0" hidden="0"/>
  </cellStyles>
  <dxfs count="2">
    <dxf>
      <font>
        <name val="Arial"/>
        <b val="1"/>
        <color rgb="00FFFFFF"/>
      </font>
      <fill>
        <patternFill patternType="solid">
          <fgColor rgb="00C00000"/>
        </patternFill>
      </fill>
    </dxf>
    <dxf>
      <font>
        <name val="Arial"/>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5"/>
  <sheetViews>
    <sheetView workbookViewId="0">
      <selection activeCell="A1" sqref="A1"/>
    </sheetView>
  </sheetViews>
  <sheetFormatPr baseColWidth="8" defaultRowHeight="15"/>
  <cols>
    <col width="120" customWidth="1" min="1" max="1"/>
  </cols>
  <sheetData>
    <row r="1">
      <c r="A1" s="1" t="inlineStr">
        <is>
          <t>13-Week Cash Flow Forecast for Contractors</t>
        </is>
      </c>
    </row>
    <row r="3">
      <c r="A3" s="2" t="inlineStr">
        <is>
          <t>WHAT THIS WORKBOOK IS</t>
        </is>
      </c>
    </row>
    <row r="4">
      <c r="A4" s="3" t="inlineStr">
        <is>
          <t>A weekly, 13-week cash forecast built for construction: collections by job, retainage releases, payroll, subcontractor payments, materials, overhead and debt, ending in a weekly cash balance you can check against a minimum cushion.</t>
        </is>
      </c>
    </row>
    <row r="5">
      <c r="A5" s="3" t="inlineStr"/>
    </row>
    <row r="6">
      <c r="A6" s="2" t="inlineStr">
        <is>
          <t>WHICH CELLS TO EDIT</t>
        </is>
      </c>
    </row>
    <row r="7">
      <c r="A7" s="3" t="inlineStr">
        <is>
          <t>Blue text = inputs. Yellow cells = SAMPLE DATA for a contractor doing about $3M a year. Replace them with your own numbers.</t>
        </is>
      </c>
    </row>
    <row r="8">
      <c r="A8" s="3" t="inlineStr">
        <is>
          <t>Green cells calculate. Don't type over them: beginning cash, totals, net cash flow, ending cash and the cushion check are all formulas.</t>
        </is>
      </c>
    </row>
    <row r="9">
      <c r="A9" s="3" t="inlineStr"/>
    </row>
    <row r="10">
      <c r="A10" s="2" t="inlineStr">
        <is>
          <t>HOW TO USE IT</t>
        </is>
      </c>
    </row>
    <row r="11">
      <c r="A11" s="3" t="inlineStr">
        <is>
          <t>1. Setup tab: enter your bank balance today, the Monday that starts week 1, and the minimum cash balance you never want to go below.</t>
        </is>
      </c>
    </row>
    <row r="12">
      <c r="A12" s="3" t="inlineStr">
        <is>
          <t>2. Retainage tab: list each job's retainage held and the week number (1 to 13) you realistically expect it released. The forecast pulls each release into the right week automatically. Leave the week blank if release is beyond 13 weeks.</t>
        </is>
      </c>
    </row>
    <row r="13">
      <c r="A13" s="3" t="inlineStr">
        <is>
          <t>3. Forecast tab: enter expected collections by job in the week you expect the check to clear, not the week you invoice. Use the owner's real payment habits, not the contract terms.</t>
        </is>
      </c>
    </row>
    <row r="14">
      <c r="A14" s="3" t="inlineStr">
        <is>
          <t>4. Enter cash out by week: payroll in the week it's paid, subcontractor and supplier payments from your AP aging, overhead and debt payments.</t>
        </is>
      </c>
    </row>
    <row r="15">
      <c r="A15" s="3" t="inlineStr">
        <is>
          <t>5. Every week, replace the week that just ended with actuals, drop it, and add a new week 13. That's what makes it rolling.</t>
        </is>
      </c>
    </row>
    <row r="16">
      <c r="A16" s="3" t="inlineStr"/>
    </row>
    <row r="17">
      <c r="A17" s="2" t="inlineStr">
        <is>
          <t>READING THE RESULT</t>
        </is>
      </c>
    </row>
    <row r="18">
      <c r="A18" s="3" t="inlineStr">
        <is>
          <t>Ending cash below your cushion shows as BELOW CUSHION in red. The lowest projected balance and its week are shown at the bottom.</t>
        </is>
      </c>
    </row>
    <row r="19">
      <c r="A19" s="3" t="inlineStr">
        <is>
          <t>Start forecast inputs from your WIP schedule and AP aging, not the P&amp;L: earned revenue on the P&amp;L isn't cash yet.</t>
        </is>
      </c>
    </row>
    <row r="20">
      <c r="A20" s="3" t="inlineStr"/>
    </row>
    <row r="21">
      <c r="A21" s="3" t="inlineStr">
        <is>
          <t>This is a planning tool, not accounting or tax advice.</t>
        </is>
      </c>
    </row>
    <row r="22">
      <c r="A22" s="3" t="inlineStr"/>
    </row>
    <row r="23">
      <c r="A23" s="3" t="inlineStr">
        <is>
          <t>Related free resources: xtrategist.com/blog-construction-cash-flow.html  |  xtrategist.com/blog-retainage-accounting.html  |  xtrategist.com/wip-schedule-template.html</t>
        </is>
      </c>
    </row>
    <row r="25">
      <c r="A25" s="4" t="inlineStr">
        <is>
          <t>Provided free by Xtrategist CPA, construction CPA in Atlanta, GA  |  xtrategist.com  |  (678) 401-6118</t>
        </is>
      </c>
    </row>
  </sheetData>
  <printOptions horizontalCentered="1"/>
  <pageMargins left="0.4" right="0.4" top="0.5" bottom="0.5" header="0.5" footer="0.5"/>
  <pageSetup orientation="portrait" paperSize="1" fitToHeight="0" fitToWidth="1"/>
  <headerFooter>
    <oddHeader/>
    <oddFooter>&amp;LXtrategist CPA  |  xtrategist.com&amp;RPage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46"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4" customWidth="1" min="15" max="15"/>
  </cols>
  <sheetData>
    <row r="1">
      <c r="A1" s="1" t="inlineStr">
        <is>
          <t>13-Week Cash Flow Forecast</t>
        </is>
      </c>
    </row>
    <row r="2">
      <c r="A2" s="5">
        <f>Setup!B5</f>
        <v/>
      </c>
    </row>
    <row r="3">
      <c r="A3" s="6" t="inlineStr">
        <is>
          <t>Yellow cells are SAMPLE DATA. Blue = inputs, green = formulas. Enter cash in the week it actually clears the bank.</t>
        </is>
      </c>
    </row>
    <row r="4">
      <c r="A4" s="7" t="inlineStr">
        <is>
          <t>Week index (used by formulas)</t>
        </is>
      </c>
      <c r="B4" s="7" t="n">
        <v>1</v>
      </c>
      <c r="C4" s="7" t="n">
        <v>2</v>
      </c>
      <c r="D4" s="7" t="n">
        <v>3</v>
      </c>
      <c r="E4" s="7" t="n">
        <v>4</v>
      </c>
      <c r="F4" s="7" t="n">
        <v>5</v>
      </c>
      <c r="G4" s="7" t="n">
        <v>6</v>
      </c>
      <c r="H4" s="7" t="n">
        <v>7</v>
      </c>
      <c r="I4" s="7" t="n">
        <v>8</v>
      </c>
      <c r="J4" s="7" t="n">
        <v>9</v>
      </c>
      <c r="K4" s="7" t="n">
        <v>10</v>
      </c>
      <c r="L4" s="7" t="n">
        <v>11</v>
      </c>
      <c r="M4" s="7" t="n">
        <v>12</v>
      </c>
      <c r="N4" s="7" t="n">
        <v>13</v>
      </c>
    </row>
    <row r="5" ht="30" customHeight="1">
      <c r="A5" s="8" t="inlineStr">
        <is>
          <t>Week</t>
        </is>
      </c>
      <c r="B5" s="8" t="inlineStr">
        <is>
          <t>Week 1</t>
        </is>
      </c>
      <c r="C5" s="8" t="inlineStr">
        <is>
          <t>Week 2</t>
        </is>
      </c>
      <c r="D5" s="8" t="inlineStr">
        <is>
          <t>Week 3</t>
        </is>
      </c>
      <c r="E5" s="8" t="inlineStr">
        <is>
          <t>Week 4</t>
        </is>
      </c>
      <c r="F5" s="8" t="inlineStr">
        <is>
          <t>Week 5</t>
        </is>
      </c>
      <c r="G5" s="8" t="inlineStr">
        <is>
          <t>Week 6</t>
        </is>
      </c>
      <c r="H5" s="8" t="inlineStr">
        <is>
          <t>Week 7</t>
        </is>
      </c>
      <c r="I5" s="8" t="inlineStr">
        <is>
          <t>Week 8</t>
        </is>
      </c>
      <c r="J5" s="8" t="inlineStr">
        <is>
          <t>Week 9</t>
        </is>
      </c>
      <c r="K5" s="8" t="inlineStr">
        <is>
          <t>Week 10</t>
        </is>
      </c>
      <c r="L5" s="8" t="inlineStr">
        <is>
          <t>Week 11</t>
        </is>
      </c>
      <c r="M5" s="8" t="inlineStr">
        <is>
          <t>Week 12</t>
        </is>
      </c>
      <c r="N5" s="8" t="inlineStr">
        <is>
          <t>Week 13</t>
        </is>
      </c>
      <c r="O5" s="8" t="inlineStr">
        <is>
          <t>13-Week Total</t>
        </is>
      </c>
    </row>
    <row r="6">
      <c r="A6" s="9" t="inlineStr">
        <is>
          <t>Week starting</t>
        </is>
      </c>
      <c r="B6" s="10">
        <f>Setup!$B$7+0</f>
        <v/>
      </c>
      <c r="C6" s="10">
        <f>Setup!$B$7+7</f>
        <v/>
      </c>
      <c r="D6" s="10">
        <f>Setup!$B$7+14</f>
        <v/>
      </c>
      <c r="E6" s="10">
        <f>Setup!$B$7+21</f>
        <v/>
      </c>
      <c r="F6" s="10">
        <f>Setup!$B$7+28</f>
        <v/>
      </c>
      <c r="G6" s="10">
        <f>Setup!$B$7+35</f>
        <v/>
      </c>
      <c r="H6" s="10">
        <f>Setup!$B$7+42</f>
        <v/>
      </c>
      <c r="I6" s="10">
        <f>Setup!$B$7+49</f>
        <v/>
      </c>
      <c r="J6" s="10">
        <f>Setup!$B$7+56</f>
        <v/>
      </c>
      <c r="K6" s="10">
        <f>Setup!$B$7+63</f>
        <v/>
      </c>
      <c r="L6" s="10">
        <f>Setup!$B$7+70</f>
        <v/>
      </c>
      <c r="M6" s="10">
        <f>Setup!$B$7+77</f>
        <v/>
      </c>
      <c r="N6" s="10">
        <f>Setup!$B$7+84</f>
        <v/>
      </c>
    </row>
    <row r="7">
      <c r="A7" s="11" t="inlineStr">
        <is>
          <t>Beginning cash</t>
        </is>
      </c>
      <c r="B7" s="12">
        <f>Setup!$B$6</f>
        <v/>
      </c>
      <c r="C7" s="12">
        <f>B47</f>
        <v/>
      </c>
      <c r="D7" s="12">
        <f>C47</f>
        <v/>
      </c>
      <c r="E7" s="12">
        <f>D47</f>
        <v/>
      </c>
      <c r="F7" s="12">
        <f>E47</f>
        <v/>
      </c>
      <c r="G7" s="12">
        <f>F47</f>
        <v/>
      </c>
      <c r="H7" s="12">
        <f>G47</f>
        <v/>
      </c>
      <c r="I7" s="12">
        <f>H47</f>
        <v/>
      </c>
      <c r="J7" s="12">
        <f>I47</f>
        <v/>
      </c>
      <c r="K7" s="12">
        <f>J47</f>
        <v/>
      </c>
      <c r="L7" s="12">
        <f>K47</f>
        <v/>
      </c>
      <c r="M7" s="12">
        <f>L47</f>
        <v/>
      </c>
      <c r="N7" s="12">
        <f>M47</f>
        <v/>
      </c>
      <c r="O7" s="12">
        <f>B7</f>
        <v/>
      </c>
    </row>
    <row r="8">
      <c r="A8" s="13" t="n"/>
      <c r="B8" s="13" t="n"/>
      <c r="C8" s="13" t="n"/>
      <c r="D8" s="13" t="n"/>
      <c r="E8" s="13" t="n"/>
      <c r="F8" s="13" t="n"/>
      <c r="G8" s="13" t="n"/>
      <c r="H8" s="13" t="n"/>
      <c r="I8" s="13" t="n"/>
      <c r="J8" s="13" t="n"/>
      <c r="K8" s="13" t="n"/>
      <c r="L8" s="13" t="n"/>
      <c r="M8" s="13" t="n"/>
      <c r="N8" s="13" t="n"/>
      <c r="O8" s="13" t="n"/>
    </row>
    <row r="9">
      <c r="A9" s="14" t="inlineStr">
        <is>
          <t>CASH IN: COLLECTIONS BY JOB (progress billings, net of retainage)</t>
        </is>
      </c>
      <c r="B9" s="15" t="n"/>
      <c r="C9" s="15" t="n"/>
      <c r="D9" s="15" t="n"/>
      <c r="E9" s="15" t="n"/>
      <c r="F9" s="15" t="n"/>
      <c r="G9" s="15" t="n"/>
      <c r="H9" s="15" t="n"/>
      <c r="I9" s="15" t="n"/>
      <c r="J9" s="15" t="n"/>
      <c r="K9" s="15" t="n"/>
      <c r="L9" s="15" t="n"/>
      <c r="M9" s="15" t="n"/>
      <c r="N9" s="15" t="n"/>
      <c r="O9" s="15" t="n"/>
    </row>
    <row r="10">
      <c r="A10" s="16" t="inlineStr">
        <is>
          <t>SAMPLE 101 Office buildout</t>
        </is>
      </c>
      <c r="B10" s="17" t="n"/>
      <c r="C10" s="17" t="n"/>
      <c r="D10" s="17" t="n">
        <v>42000</v>
      </c>
      <c r="E10" s="17" t="n"/>
      <c r="F10" s="17" t="n"/>
      <c r="G10" s="17" t="n"/>
      <c r="H10" s="17" t="n"/>
      <c r="I10" s="17" t="n"/>
      <c r="J10" s="17" t="n"/>
      <c r="K10" s="17" t="n"/>
      <c r="L10" s="17" t="n"/>
      <c r="M10" s="17" t="n"/>
      <c r="N10" s="17" t="n"/>
      <c r="O10" s="12">
        <f>SUM(B10:N10)</f>
        <v/>
      </c>
    </row>
    <row r="11">
      <c r="A11" s="16" t="inlineStr">
        <is>
          <t>SAMPLE 102 Retail shell</t>
        </is>
      </c>
      <c r="B11" s="17" t="n"/>
      <c r="C11" s="17" t="n"/>
      <c r="D11" s="17" t="n">
        <v>58000</v>
      </c>
      <c r="E11" s="17" t="n"/>
      <c r="F11" s="17" t="n"/>
      <c r="G11" s="17" t="n">
        <v>61000</v>
      </c>
      <c r="H11" s="17" t="n"/>
      <c r="I11" s="17" t="n"/>
      <c r="J11" s="17" t="n"/>
      <c r="K11" s="17" t="n">
        <v>64000</v>
      </c>
      <c r="L11" s="17" t="n"/>
      <c r="M11" s="17" t="n"/>
      <c r="N11" s="17" t="n"/>
      <c r="O11" s="12">
        <f>SUM(B11:N11)</f>
        <v/>
      </c>
    </row>
    <row r="12">
      <c r="A12" s="16" t="inlineStr">
        <is>
          <t>SAMPLE 103 Church addition</t>
        </is>
      </c>
      <c r="B12" s="17" t="n"/>
      <c r="C12" s="17" t="n"/>
      <c r="D12" s="17" t="n"/>
      <c r="E12" s="17" t="n">
        <v>96000</v>
      </c>
      <c r="F12" s="17" t="n"/>
      <c r="G12" s="17" t="n"/>
      <c r="H12" s="17" t="n"/>
      <c r="I12" s="17" t="n">
        <v>102000</v>
      </c>
      <c r="J12" s="17" t="n"/>
      <c r="K12" s="17" t="n"/>
      <c r="L12" s="17" t="n"/>
      <c r="M12" s="17" t="n">
        <v>108000</v>
      </c>
      <c r="N12" s="17" t="n"/>
      <c r="O12" s="12">
        <f>SUM(B12:N12)</f>
        <v/>
      </c>
    </row>
    <row r="13">
      <c r="A13" s="16" t="inlineStr">
        <is>
          <t>SAMPLE 104 Medical office</t>
        </is>
      </c>
      <c r="B13" s="17" t="n"/>
      <c r="C13" s="17" t="n"/>
      <c r="D13" s="17" t="n"/>
      <c r="E13" s="17" t="n"/>
      <c r="F13" s="17" t="n"/>
      <c r="G13" s="17" t="n"/>
      <c r="H13" s="17" t="n"/>
      <c r="I13" s="17" t="n"/>
      <c r="J13" s="17" t="n"/>
      <c r="K13" s="17" t="n"/>
      <c r="L13" s="17" t="n"/>
      <c r="M13" s="17" t="n"/>
      <c r="N13" s="17" t="n"/>
      <c r="O13" s="12">
        <f>SUM(B13:N13)</f>
        <v/>
      </c>
    </row>
    <row r="14">
      <c r="A14" s="16" t="inlineStr">
        <is>
          <t>SAMPLE 105 Warehouse (starts week 5)</t>
        </is>
      </c>
      <c r="B14" s="17" t="n"/>
      <c r="C14" s="17" t="n"/>
      <c r="D14" s="17" t="n"/>
      <c r="E14" s="17" t="n"/>
      <c r="F14" s="17" t="n"/>
      <c r="G14" s="17" t="n"/>
      <c r="H14" s="17" t="n"/>
      <c r="I14" s="17" t="n"/>
      <c r="J14" s="17" t="n"/>
      <c r="K14" s="17" t="n">
        <v>74000</v>
      </c>
      <c r="L14" s="17" t="n"/>
      <c r="M14" s="17" t="n"/>
      <c r="N14" s="17" t="n"/>
      <c r="O14" s="12">
        <f>SUM(B14:N14)</f>
        <v/>
      </c>
    </row>
    <row r="15">
      <c r="A15" s="16" t="inlineStr">
        <is>
          <t>Job: (add)</t>
        </is>
      </c>
      <c r="B15" s="18" t="n"/>
      <c r="C15" s="18" t="n"/>
      <c r="D15" s="18" t="n"/>
      <c r="E15" s="18" t="n"/>
      <c r="F15" s="18" t="n"/>
      <c r="G15" s="18" t="n"/>
      <c r="H15" s="18" t="n"/>
      <c r="I15" s="18" t="n"/>
      <c r="J15" s="18" t="n"/>
      <c r="K15" s="18" t="n"/>
      <c r="L15" s="18" t="n"/>
      <c r="M15" s="18" t="n"/>
      <c r="N15" s="18" t="n"/>
      <c r="O15" s="12">
        <f>SUM(B15:N15)</f>
        <v/>
      </c>
    </row>
    <row r="16">
      <c r="A16" s="16" t="inlineStr">
        <is>
          <t xml:space="preserve">Job: (add) </t>
        </is>
      </c>
      <c r="B16" s="18" t="n"/>
      <c r="C16" s="18" t="n"/>
      <c r="D16" s="18" t="n"/>
      <c r="E16" s="18" t="n"/>
      <c r="F16" s="18" t="n"/>
      <c r="G16" s="18" t="n"/>
      <c r="H16" s="18" t="n"/>
      <c r="I16" s="18" t="n"/>
      <c r="J16" s="18" t="n"/>
      <c r="K16" s="18" t="n"/>
      <c r="L16" s="18" t="n"/>
      <c r="M16" s="18" t="n"/>
      <c r="N16" s="18" t="n"/>
      <c r="O16" s="12">
        <f>SUM(B16:N16)</f>
        <v/>
      </c>
    </row>
    <row r="17">
      <c r="A17" s="14" t="inlineStr">
        <is>
          <t>CASH IN: RETAINAGE RELEASES (pulled from the Retainage tab)</t>
        </is>
      </c>
      <c r="B17" s="15" t="n"/>
      <c r="C17" s="15" t="n"/>
      <c r="D17" s="15" t="n"/>
      <c r="E17" s="15" t="n"/>
      <c r="F17" s="15" t="n"/>
      <c r="G17" s="15" t="n"/>
      <c r="H17" s="15" t="n"/>
      <c r="I17" s="15" t="n"/>
      <c r="J17" s="15" t="n"/>
      <c r="K17" s="15" t="n"/>
      <c r="L17" s="15" t="n"/>
      <c r="M17" s="15" t="n"/>
      <c r="N17" s="15" t="n"/>
      <c r="O17" s="15" t="n"/>
    </row>
    <row r="18">
      <c r="A18" s="16">
        <f>IF(Retainage!A6="","(retainage row 1)",Retainage!A6)</f>
        <v/>
      </c>
      <c r="B18" s="19">
        <f>IF(N(Retainage!$G$6)=B$4,Retainage!$H$6,0)</f>
        <v/>
      </c>
      <c r="C18" s="19">
        <f>IF(N(Retainage!$G$6)=C$4,Retainage!$H$6,0)</f>
        <v/>
      </c>
      <c r="D18" s="19">
        <f>IF(N(Retainage!$G$6)=D$4,Retainage!$H$6,0)</f>
        <v/>
      </c>
      <c r="E18" s="19">
        <f>IF(N(Retainage!$G$6)=E$4,Retainage!$H$6,0)</f>
        <v/>
      </c>
      <c r="F18" s="19">
        <f>IF(N(Retainage!$G$6)=F$4,Retainage!$H$6,0)</f>
        <v/>
      </c>
      <c r="G18" s="19">
        <f>IF(N(Retainage!$G$6)=G$4,Retainage!$H$6,0)</f>
        <v/>
      </c>
      <c r="H18" s="19">
        <f>IF(N(Retainage!$G$6)=H$4,Retainage!$H$6,0)</f>
        <v/>
      </c>
      <c r="I18" s="19">
        <f>IF(N(Retainage!$G$6)=I$4,Retainage!$H$6,0)</f>
        <v/>
      </c>
      <c r="J18" s="19">
        <f>IF(N(Retainage!$G$6)=J$4,Retainage!$H$6,0)</f>
        <v/>
      </c>
      <c r="K18" s="19">
        <f>IF(N(Retainage!$G$6)=K$4,Retainage!$H$6,0)</f>
        <v/>
      </c>
      <c r="L18" s="19">
        <f>IF(N(Retainage!$G$6)=L$4,Retainage!$H$6,0)</f>
        <v/>
      </c>
      <c r="M18" s="19">
        <f>IF(N(Retainage!$G$6)=M$4,Retainage!$H$6,0)</f>
        <v/>
      </c>
      <c r="N18" s="19">
        <f>IF(N(Retainage!$G$6)=N$4,Retainage!$H$6,0)</f>
        <v/>
      </c>
      <c r="O18" s="12">
        <f>SUM(B18:N18)</f>
        <v/>
      </c>
    </row>
    <row r="19">
      <c r="A19" s="16">
        <f>IF(Retainage!A7="","(retainage row 2)",Retainage!A7)</f>
        <v/>
      </c>
      <c r="B19" s="19">
        <f>IF(N(Retainage!$G$7)=B$4,Retainage!$H$7,0)</f>
        <v/>
      </c>
      <c r="C19" s="19">
        <f>IF(N(Retainage!$G$7)=C$4,Retainage!$H$7,0)</f>
        <v/>
      </c>
      <c r="D19" s="19">
        <f>IF(N(Retainage!$G$7)=D$4,Retainage!$H$7,0)</f>
        <v/>
      </c>
      <c r="E19" s="19">
        <f>IF(N(Retainage!$G$7)=E$4,Retainage!$H$7,0)</f>
        <v/>
      </c>
      <c r="F19" s="19">
        <f>IF(N(Retainage!$G$7)=F$4,Retainage!$H$7,0)</f>
        <v/>
      </c>
      <c r="G19" s="19">
        <f>IF(N(Retainage!$G$7)=G$4,Retainage!$H$7,0)</f>
        <v/>
      </c>
      <c r="H19" s="19">
        <f>IF(N(Retainage!$G$7)=H$4,Retainage!$H$7,0)</f>
        <v/>
      </c>
      <c r="I19" s="19">
        <f>IF(N(Retainage!$G$7)=I$4,Retainage!$H$7,0)</f>
        <v/>
      </c>
      <c r="J19" s="19">
        <f>IF(N(Retainage!$G$7)=J$4,Retainage!$H$7,0)</f>
        <v/>
      </c>
      <c r="K19" s="19">
        <f>IF(N(Retainage!$G$7)=K$4,Retainage!$H$7,0)</f>
        <v/>
      </c>
      <c r="L19" s="19">
        <f>IF(N(Retainage!$G$7)=L$4,Retainage!$H$7,0)</f>
        <v/>
      </c>
      <c r="M19" s="19">
        <f>IF(N(Retainage!$G$7)=M$4,Retainage!$H$7,0)</f>
        <v/>
      </c>
      <c r="N19" s="19">
        <f>IF(N(Retainage!$G$7)=N$4,Retainage!$H$7,0)</f>
        <v/>
      </c>
      <c r="O19" s="12">
        <f>SUM(B19:N19)</f>
        <v/>
      </c>
    </row>
    <row r="20">
      <c r="A20" s="16">
        <f>IF(Retainage!A8="","(retainage row 3)",Retainage!A8)</f>
        <v/>
      </c>
      <c r="B20" s="19">
        <f>IF(N(Retainage!$G$8)=B$4,Retainage!$H$8,0)</f>
        <v/>
      </c>
      <c r="C20" s="19">
        <f>IF(N(Retainage!$G$8)=C$4,Retainage!$H$8,0)</f>
        <v/>
      </c>
      <c r="D20" s="19">
        <f>IF(N(Retainage!$G$8)=D$4,Retainage!$H$8,0)</f>
        <v/>
      </c>
      <c r="E20" s="19">
        <f>IF(N(Retainage!$G$8)=E$4,Retainage!$H$8,0)</f>
        <v/>
      </c>
      <c r="F20" s="19">
        <f>IF(N(Retainage!$G$8)=F$4,Retainage!$H$8,0)</f>
        <v/>
      </c>
      <c r="G20" s="19">
        <f>IF(N(Retainage!$G$8)=G$4,Retainage!$H$8,0)</f>
        <v/>
      </c>
      <c r="H20" s="19">
        <f>IF(N(Retainage!$G$8)=H$4,Retainage!$H$8,0)</f>
        <v/>
      </c>
      <c r="I20" s="19">
        <f>IF(N(Retainage!$G$8)=I$4,Retainage!$H$8,0)</f>
        <v/>
      </c>
      <c r="J20" s="19">
        <f>IF(N(Retainage!$G$8)=J$4,Retainage!$H$8,0)</f>
        <v/>
      </c>
      <c r="K20" s="19">
        <f>IF(N(Retainage!$G$8)=K$4,Retainage!$H$8,0)</f>
        <v/>
      </c>
      <c r="L20" s="19">
        <f>IF(N(Retainage!$G$8)=L$4,Retainage!$H$8,0)</f>
        <v/>
      </c>
      <c r="M20" s="19">
        <f>IF(N(Retainage!$G$8)=M$4,Retainage!$H$8,0)</f>
        <v/>
      </c>
      <c r="N20" s="19">
        <f>IF(N(Retainage!$G$8)=N$4,Retainage!$H$8,0)</f>
        <v/>
      </c>
      <c r="O20" s="12">
        <f>SUM(B20:N20)</f>
        <v/>
      </c>
    </row>
    <row r="21">
      <c r="A21" s="16">
        <f>IF(Retainage!A9="","(retainage row 4)",Retainage!A9)</f>
        <v/>
      </c>
      <c r="B21" s="19">
        <f>IF(N(Retainage!$G$9)=B$4,Retainage!$H$9,0)</f>
        <v/>
      </c>
      <c r="C21" s="19">
        <f>IF(N(Retainage!$G$9)=C$4,Retainage!$H$9,0)</f>
        <v/>
      </c>
      <c r="D21" s="19">
        <f>IF(N(Retainage!$G$9)=D$4,Retainage!$H$9,0)</f>
        <v/>
      </c>
      <c r="E21" s="19">
        <f>IF(N(Retainage!$G$9)=E$4,Retainage!$H$9,0)</f>
        <v/>
      </c>
      <c r="F21" s="19">
        <f>IF(N(Retainage!$G$9)=F$4,Retainage!$H$9,0)</f>
        <v/>
      </c>
      <c r="G21" s="19">
        <f>IF(N(Retainage!$G$9)=G$4,Retainage!$H$9,0)</f>
        <v/>
      </c>
      <c r="H21" s="19">
        <f>IF(N(Retainage!$G$9)=H$4,Retainage!$H$9,0)</f>
        <v/>
      </c>
      <c r="I21" s="19">
        <f>IF(N(Retainage!$G$9)=I$4,Retainage!$H$9,0)</f>
        <v/>
      </c>
      <c r="J21" s="19">
        <f>IF(N(Retainage!$G$9)=J$4,Retainage!$H$9,0)</f>
        <v/>
      </c>
      <c r="K21" s="19">
        <f>IF(N(Retainage!$G$9)=K$4,Retainage!$H$9,0)</f>
        <v/>
      </c>
      <c r="L21" s="19">
        <f>IF(N(Retainage!$G$9)=L$4,Retainage!$H$9,0)</f>
        <v/>
      </c>
      <c r="M21" s="19">
        <f>IF(N(Retainage!$G$9)=M$4,Retainage!$H$9,0)</f>
        <v/>
      </c>
      <c r="N21" s="19">
        <f>IF(N(Retainage!$G$9)=N$4,Retainage!$H$9,0)</f>
        <v/>
      </c>
      <c r="O21" s="12">
        <f>SUM(B21:N21)</f>
        <v/>
      </c>
    </row>
    <row r="22">
      <c r="A22" s="16">
        <f>IF(Retainage!A10="","(retainage row 5)",Retainage!A10)</f>
        <v/>
      </c>
      <c r="B22" s="19">
        <f>IF(N(Retainage!$G$10)=B$4,Retainage!$H$10,0)</f>
        <v/>
      </c>
      <c r="C22" s="19">
        <f>IF(N(Retainage!$G$10)=C$4,Retainage!$H$10,0)</f>
        <v/>
      </c>
      <c r="D22" s="19">
        <f>IF(N(Retainage!$G$10)=D$4,Retainage!$H$10,0)</f>
        <v/>
      </c>
      <c r="E22" s="19">
        <f>IF(N(Retainage!$G$10)=E$4,Retainage!$H$10,0)</f>
        <v/>
      </c>
      <c r="F22" s="19">
        <f>IF(N(Retainage!$G$10)=F$4,Retainage!$H$10,0)</f>
        <v/>
      </c>
      <c r="G22" s="19">
        <f>IF(N(Retainage!$G$10)=G$4,Retainage!$H$10,0)</f>
        <v/>
      </c>
      <c r="H22" s="19">
        <f>IF(N(Retainage!$G$10)=H$4,Retainage!$H$10,0)</f>
        <v/>
      </c>
      <c r="I22" s="19">
        <f>IF(N(Retainage!$G$10)=I$4,Retainage!$H$10,0)</f>
        <v/>
      </c>
      <c r="J22" s="19">
        <f>IF(N(Retainage!$G$10)=J$4,Retainage!$H$10,0)</f>
        <v/>
      </c>
      <c r="K22" s="19">
        <f>IF(N(Retainage!$G$10)=K$4,Retainage!$H$10,0)</f>
        <v/>
      </c>
      <c r="L22" s="19">
        <f>IF(N(Retainage!$G$10)=L$4,Retainage!$H$10,0)</f>
        <v/>
      </c>
      <c r="M22" s="19">
        <f>IF(N(Retainage!$G$10)=M$4,Retainage!$H$10,0)</f>
        <v/>
      </c>
      <c r="N22" s="19">
        <f>IF(N(Retainage!$G$10)=N$4,Retainage!$H$10,0)</f>
        <v/>
      </c>
      <c r="O22" s="12">
        <f>SUM(B22:N22)</f>
        <v/>
      </c>
    </row>
    <row r="23">
      <c r="A23" s="16">
        <f>IF(Retainage!A11="","(retainage row 6)",Retainage!A11)</f>
        <v/>
      </c>
      <c r="B23" s="19">
        <f>IF(N(Retainage!$G$11)=B$4,Retainage!$H$11,0)</f>
        <v/>
      </c>
      <c r="C23" s="19">
        <f>IF(N(Retainage!$G$11)=C$4,Retainage!$H$11,0)</f>
        <v/>
      </c>
      <c r="D23" s="19">
        <f>IF(N(Retainage!$G$11)=D$4,Retainage!$H$11,0)</f>
        <v/>
      </c>
      <c r="E23" s="19">
        <f>IF(N(Retainage!$G$11)=E$4,Retainage!$H$11,0)</f>
        <v/>
      </c>
      <c r="F23" s="19">
        <f>IF(N(Retainage!$G$11)=F$4,Retainage!$H$11,0)</f>
        <v/>
      </c>
      <c r="G23" s="19">
        <f>IF(N(Retainage!$G$11)=G$4,Retainage!$H$11,0)</f>
        <v/>
      </c>
      <c r="H23" s="19">
        <f>IF(N(Retainage!$G$11)=H$4,Retainage!$H$11,0)</f>
        <v/>
      </c>
      <c r="I23" s="19">
        <f>IF(N(Retainage!$G$11)=I$4,Retainage!$H$11,0)</f>
        <v/>
      </c>
      <c r="J23" s="19">
        <f>IF(N(Retainage!$G$11)=J$4,Retainage!$H$11,0)</f>
        <v/>
      </c>
      <c r="K23" s="19">
        <f>IF(N(Retainage!$G$11)=K$4,Retainage!$H$11,0)</f>
        <v/>
      </c>
      <c r="L23" s="19">
        <f>IF(N(Retainage!$G$11)=L$4,Retainage!$H$11,0)</f>
        <v/>
      </c>
      <c r="M23" s="19">
        <f>IF(N(Retainage!$G$11)=M$4,Retainage!$H$11,0)</f>
        <v/>
      </c>
      <c r="N23" s="19">
        <f>IF(N(Retainage!$G$11)=N$4,Retainage!$H$11,0)</f>
        <v/>
      </c>
      <c r="O23" s="12">
        <f>SUM(B23:N23)</f>
        <v/>
      </c>
    </row>
    <row r="24">
      <c r="A24" s="16">
        <f>IF(Retainage!A12="","(retainage row 7)",Retainage!A12)</f>
        <v/>
      </c>
      <c r="B24" s="19">
        <f>IF(N(Retainage!$G$12)=B$4,Retainage!$H$12,0)</f>
        <v/>
      </c>
      <c r="C24" s="19">
        <f>IF(N(Retainage!$G$12)=C$4,Retainage!$H$12,0)</f>
        <v/>
      </c>
      <c r="D24" s="19">
        <f>IF(N(Retainage!$G$12)=D$4,Retainage!$H$12,0)</f>
        <v/>
      </c>
      <c r="E24" s="19">
        <f>IF(N(Retainage!$G$12)=E$4,Retainage!$H$12,0)</f>
        <v/>
      </c>
      <c r="F24" s="19">
        <f>IF(N(Retainage!$G$12)=F$4,Retainage!$H$12,0)</f>
        <v/>
      </c>
      <c r="G24" s="19">
        <f>IF(N(Retainage!$G$12)=G$4,Retainage!$H$12,0)</f>
        <v/>
      </c>
      <c r="H24" s="19">
        <f>IF(N(Retainage!$G$12)=H$4,Retainage!$H$12,0)</f>
        <v/>
      </c>
      <c r="I24" s="19">
        <f>IF(N(Retainage!$G$12)=I$4,Retainage!$H$12,0)</f>
        <v/>
      </c>
      <c r="J24" s="19">
        <f>IF(N(Retainage!$G$12)=J$4,Retainage!$H$12,0)</f>
        <v/>
      </c>
      <c r="K24" s="19">
        <f>IF(N(Retainage!$G$12)=K$4,Retainage!$H$12,0)</f>
        <v/>
      </c>
      <c r="L24" s="19">
        <f>IF(N(Retainage!$G$12)=L$4,Retainage!$H$12,0)</f>
        <v/>
      </c>
      <c r="M24" s="19">
        <f>IF(N(Retainage!$G$12)=M$4,Retainage!$H$12,0)</f>
        <v/>
      </c>
      <c r="N24" s="19">
        <f>IF(N(Retainage!$G$12)=N$4,Retainage!$H$12,0)</f>
        <v/>
      </c>
      <c r="O24" s="12">
        <f>SUM(B24:N24)</f>
        <v/>
      </c>
    </row>
    <row r="25">
      <c r="A25" s="16">
        <f>IF(Retainage!A13="","(retainage row 8)",Retainage!A13)</f>
        <v/>
      </c>
      <c r="B25" s="19">
        <f>IF(N(Retainage!$G$13)=B$4,Retainage!$H$13,0)</f>
        <v/>
      </c>
      <c r="C25" s="19">
        <f>IF(N(Retainage!$G$13)=C$4,Retainage!$H$13,0)</f>
        <v/>
      </c>
      <c r="D25" s="19">
        <f>IF(N(Retainage!$G$13)=D$4,Retainage!$H$13,0)</f>
        <v/>
      </c>
      <c r="E25" s="19">
        <f>IF(N(Retainage!$G$13)=E$4,Retainage!$H$13,0)</f>
        <v/>
      </c>
      <c r="F25" s="19">
        <f>IF(N(Retainage!$G$13)=F$4,Retainage!$H$13,0)</f>
        <v/>
      </c>
      <c r="G25" s="19">
        <f>IF(N(Retainage!$G$13)=G$4,Retainage!$H$13,0)</f>
        <v/>
      </c>
      <c r="H25" s="19">
        <f>IF(N(Retainage!$G$13)=H$4,Retainage!$H$13,0)</f>
        <v/>
      </c>
      <c r="I25" s="19">
        <f>IF(N(Retainage!$G$13)=I$4,Retainage!$H$13,0)</f>
        <v/>
      </c>
      <c r="J25" s="19">
        <f>IF(N(Retainage!$G$13)=J$4,Retainage!$H$13,0)</f>
        <v/>
      </c>
      <c r="K25" s="19">
        <f>IF(N(Retainage!$G$13)=K$4,Retainage!$H$13,0)</f>
        <v/>
      </c>
      <c r="L25" s="19">
        <f>IF(N(Retainage!$G$13)=L$4,Retainage!$H$13,0)</f>
        <v/>
      </c>
      <c r="M25" s="19">
        <f>IF(N(Retainage!$G$13)=M$4,Retainage!$H$13,0)</f>
        <v/>
      </c>
      <c r="N25" s="19">
        <f>IF(N(Retainage!$G$13)=N$4,Retainage!$H$13,0)</f>
        <v/>
      </c>
      <c r="O25" s="12">
        <f>SUM(B25:N25)</f>
        <v/>
      </c>
    </row>
    <row r="26">
      <c r="A26" s="14" t="inlineStr">
        <is>
          <t>CASH IN: OTHER</t>
        </is>
      </c>
      <c r="B26" s="15" t="n"/>
      <c r="C26" s="15" t="n"/>
      <c r="D26" s="15" t="n"/>
      <c r="E26" s="15" t="n"/>
      <c r="F26" s="15" t="n"/>
      <c r="G26" s="15" t="n"/>
      <c r="H26" s="15" t="n"/>
      <c r="I26" s="15" t="n"/>
      <c r="J26" s="15" t="n"/>
      <c r="K26" s="15" t="n"/>
      <c r="L26" s="15" t="n"/>
      <c r="M26" s="15" t="n"/>
      <c r="N26" s="15" t="n"/>
      <c r="O26" s="15" t="n"/>
    </row>
    <row r="27">
      <c r="A27" s="16" t="inlineStr">
        <is>
          <t>Deposits and mobilization payments</t>
        </is>
      </c>
      <c r="B27" s="17" t="n"/>
      <c r="C27" s="17" t="n"/>
      <c r="D27" s="17" t="n"/>
      <c r="E27" s="17" t="n"/>
      <c r="F27" s="17" t="n">
        <v>38000</v>
      </c>
      <c r="G27" s="17" t="n"/>
      <c r="H27" s="17" t="n"/>
      <c r="I27" s="17" t="n"/>
      <c r="J27" s="17" t="n"/>
      <c r="K27" s="17" t="n"/>
      <c r="L27" s="17" t="n"/>
      <c r="M27" s="17" t="n"/>
      <c r="N27" s="17" t="n"/>
      <c r="O27" s="12">
        <f>SUM(B27:N27)</f>
        <v/>
      </c>
    </row>
    <row r="28">
      <c r="A28" s="16" t="inlineStr">
        <is>
          <t>Other receipts</t>
        </is>
      </c>
      <c r="B28" s="18" t="n"/>
      <c r="C28" s="18" t="n"/>
      <c r="D28" s="18" t="n"/>
      <c r="E28" s="18" t="n"/>
      <c r="F28" s="18" t="n"/>
      <c r="G28" s="18" t="n"/>
      <c r="H28" s="18" t="n"/>
      <c r="I28" s="18" t="n"/>
      <c r="J28" s="18" t="n"/>
      <c r="K28" s="18" t="n"/>
      <c r="L28" s="18" t="n"/>
      <c r="M28" s="18" t="n"/>
      <c r="N28" s="18" t="n"/>
      <c r="O28" s="12">
        <f>SUM(B28:N28)</f>
        <v/>
      </c>
    </row>
    <row r="29">
      <c r="A29" s="11" t="inlineStr">
        <is>
          <t>TOTAL CASH IN</t>
        </is>
      </c>
      <c r="B29" s="20">
        <f>SUM(B10:B16)+SUM(B18:B25)+SUM(B27:B28)</f>
        <v/>
      </c>
      <c r="C29" s="20">
        <f>SUM(C10:C16)+SUM(C18:C25)+SUM(C27:C28)</f>
        <v/>
      </c>
      <c r="D29" s="20">
        <f>SUM(D10:D16)+SUM(D18:D25)+SUM(D27:D28)</f>
        <v/>
      </c>
      <c r="E29" s="20">
        <f>SUM(E10:E16)+SUM(E18:E25)+SUM(E27:E28)</f>
        <v/>
      </c>
      <c r="F29" s="20">
        <f>SUM(F10:F16)+SUM(F18:F25)+SUM(F27:F28)</f>
        <v/>
      </c>
      <c r="G29" s="20">
        <f>SUM(G10:G16)+SUM(G18:G25)+SUM(G27:G28)</f>
        <v/>
      </c>
      <c r="H29" s="20">
        <f>SUM(H10:H16)+SUM(H18:H25)+SUM(H27:H28)</f>
        <v/>
      </c>
      <c r="I29" s="20">
        <f>SUM(I10:I16)+SUM(I18:I25)+SUM(I27:I28)</f>
        <v/>
      </c>
      <c r="J29" s="20">
        <f>SUM(J10:J16)+SUM(J18:J25)+SUM(J27:J28)</f>
        <v/>
      </c>
      <c r="K29" s="20">
        <f>SUM(K10:K16)+SUM(K18:K25)+SUM(K27:K28)</f>
        <v/>
      </c>
      <c r="L29" s="20">
        <f>SUM(L10:L16)+SUM(L18:L25)+SUM(L27:L28)</f>
        <v/>
      </c>
      <c r="M29" s="20">
        <f>SUM(M10:M16)+SUM(M18:M25)+SUM(M27:M28)</f>
        <v/>
      </c>
      <c r="N29" s="20">
        <f>SUM(N10:N16)+SUM(N18:N25)+SUM(N27:N28)</f>
        <v/>
      </c>
      <c r="O29" s="20">
        <f>SUM(O10:O16)+SUM(O18:O25)+SUM(O27:O28)</f>
        <v/>
      </c>
    </row>
    <row r="30">
      <c r="A30" s="13" t="n"/>
      <c r="B30" s="13" t="n"/>
      <c r="C30" s="13" t="n"/>
      <c r="D30" s="13" t="n"/>
      <c r="E30" s="13" t="n"/>
      <c r="F30" s="13" t="n"/>
      <c r="G30" s="13" t="n"/>
      <c r="H30" s="13" t="n"/>
      <c r="I30" s="13" t="n"/>
      <c r="J30" s="13" t="n"/>
      <c r="K30" s="13" t="n"/>
      <c r="L30" s="13" t="n"/>
      <c r="M30" s="13" t="n"/>
      <c r="N30" s="13" t="n"/>
      <c r="O30" s="13" t="n"/>
    </row>
    <row r="31">
      <c r="A31" s="14" t="inlineStr">
        <is>
          <t>CASH OUT</t>
        </is>
      </c>
      <c r="B31" s="15" t="n"/>
      <c r="C31" s="15" t="n"/>
      <c r="D31" s="15" t="n"/>
      <c r="E31" s="15" t="n"/>
      <c r="F31" s="15" t="n"/>
      <c r="G31" s="15" t="n"/>
      <c r="H31" s="15" t="n"/>
      <c r="I31" s="15" t="n"/>
      <c r="J31" s="15" t="n"/>
      <c r="K31" s="15" t="n"/>
      <c r="L31" s="15" t="n"/>
      <c r="M31" s="15" t="n"/>
      <c r="N31" s="15" t="n"/>
      <c r="O31" s="15" t="n"/>
    </row>
    <row r="32">
      <c r="A32" s="16" t="inlineStr">
        <is>
          <t>Payroll: net pay (field and office)</t>
        </is>
      </c>
      <c r="B32" s="17" t="n">
        <v>21500</v>
      </c>
      <c r="C32" s="17" t="n">
        <v>21500</v>
      </c>
      <c r="D32" s="17" t="n">
        <v>21500</v>
      </c>
      <c r="E32" s="17" t="n">
        <v>21500</v>
      </c>
      <c r="F32" s="17" t="n">
        <v>21500</v>
      </c>
      <c r="G32" s="17" t="n">
        <v>21500</v>
      </c>
      <c r="H32" s="17" t="n">
        <v>21500</v>
      </c>
      <c r="I32" s="17" t="n">
        <v>21500</v>
      </c>
      <c r="J32" s="17" t="n">
        <v>21500</v>
      </c>
      <c r="K32" s="17" t="n">
        <v>21500</v>
      </c>
      <c r="L32" s="17" t="n">
        <v>21500</v>
      </c>
      <c r="M32" s="17" t="n">
        <v>21500</v>
      </c>
      <c r="N32" s="17" t="n">
        <v>21500</v>
      </c>
      <c r="O32" s="12">
        <f>SUM(B32:N32)</f>
        <v/>
      </c>
    </row>
    <row r="33">
      <c r="A33" s="16" t="inlineStr">
        <is>
          <t>Payroll taxes, benefits and workers' comp</t>
        </is>
      </c>
      <c r="B33" s="17" t="n">
        <v>7400</v>
      </c>
      <c r="C33" s="17" t="n">
        <v>7400</v>
      </c>
      <c r="D33" s="17" t="n">
        <v>7400</v>
      </c>
      <c r="E33" s="17" t="n">
        <v>7400</v>
      </c>
      <c r="F33" s="17" t="n">
        <v>7400</v>
      </c>
      <c r="G33" s="17" t="n">
        <v>7400</v>
      </c>
      <c r="H33" s="17" t="n">
        <v>7400</v>
      </c>
      <c r="I33" s="17" t="n">
        <v>7400</v>
      </c>
      <c r="J33" s="17" t="n">
        <v>7400</v>
      </c>
      <c r="K33" s="17" t="n">
        <v>7400</v>
      </c>
      <c r="L33" s="17" t="n">
        <v>7400</v>
      </c>
      <c r="M33" s="17" t="n">
        <v>7400</v>
      </c>
      <c r="N33" s="17" t="n">
        <v>7400</v>
      </c>
      <c r="O33" s="12">
        <f>SUM(B33:N33)</f>
        <v/>
      </c>
    </row>
    <row r="34">
      <c r="A34" s="16" t="inlineStr">
        <is>
          <t>Subcontractor payments</t>
        </is>
      </c>
      <c r="B34" s="17" t="n"/>
      <c r="C34" s="17" t="n">
        <v>58000</v>
      </c>
      <c r="D34" s="17" t="n"/>
      <c r="E34" s="17" t="n"/>
      <c r="F34" s="17" t="n">
        <v>52000</v>
      </c>
      <c r="G34" s="17" t="n"/>
      <c r="H34" s="17" t="n"/>
      <c r="I34" s="17" t="n"/>
      <c r="J34" s="17" t="n">
        <v>58000</v>
      </c>
      <c r="K34" s="17" t="n"/>
      <c r="L34" s="17" t="n"/>
      <c r="M34" s="17" t="n"/>
      <c r="N34" s="17" t="n">
        <v>61000</v>
      </c>
      <c r="O34" s="12">
        <f>SUM(B34:N34)</f>
        <v/>
      </c>
    </row>
    <row r="35">
      <c r="A35" s="16" t="inlineStr">
        <is>
          <t>Materials and supplies</t>
        </is>
      </c>
      <c r="B35" s="17" t="n">
        <v>14000</v>
      </c>
      <c r="C35" s="17" t="n">
        <v>15000</v>
      </c>
      <c r="D35" s="17" t="n">
        <v>22000</v>
      </c>
      <c r="E35" s="17" t="n">
        <v>8000</v>
      </c>
      <c r="F35" s="17" t="n">
        <v>26000</v>
      </c>
      <c r="G35" s="17" t="n">
        <v>11000</v>
      </c>
      <c r="H35" s="17" t="n">
        <v>9000</v>
      </c>
      <c r="I35" s="17" t="n">
        <v>18000</v>
      </c>
      <c r="J35" s="17" t="n">
        <v>12000</v>
      </c>
      <c r="K35" s="17" t="n">
        <v>21000</v>
      </c>
      <c r="L35" s="17" t="n">
        <v>8000</v>
      </c>
      <c r="M35" s="17" t="n">
        <v>10000</v>
      </c>
      <c r="N35" s="17" t="n">
        <v>15000</v>
      </c>
      <c r="O35" s="12">
        <f>SUM(B35:N35)</f>
        <v/>
      </c>
    </row>
    <row r="36">
      <c r="A36" s="16" t="inlineStr">
        <is>
          <t>Equipment rental, fuel and repairs</t>
        </is>
      </c>
      <c r="B36" s="17" t="n">
        <v>3200</v>
      </c>
      <c r="C36" s="17" t="n">
        <v>2800</v>
      </c>
      <c r="D36" s="17" t="n">
        <v>3500</v>
      </c>
      <c r="E36" s="17" t="n">
        <v>2900</v>
      </c>
      <c r="F36" s="17" t="n">
        <v>4100</v>
      </c>
      <c r="G36" s="17" t="n">
        <v>3000</v>
      </c>
      <c r="H36" s="17" t="n">
        <v>2800</v>
      </c>
      <c r="I36" s="17" t="n">
        <v>3600</v>
      </c>
      <c r="J36" s="17" t="n">
        <v>3100</v>
      </c>
      <c r="K36" s="17" t="n">
        <v>4200</v>
      </c>
      <c r="L36" s="17" t="n">
        <v>2900</v>
      </c>
      <c r="M36" s="17" t="n">
        <v>3000</v>
      </c>
      <c r="N36" s="17" t="n">
        <v>3300</v>
      </c>
      <c r="O36" s="12">
        <f>SUM(B36:N36)</f>
        <v/>
      </c>
    </row>
    <row r="37">
      <c r="A37" s="16" t="inlineStr">
        <is>
          <t>Overhead: rent, utilities, software</t>
        </is>
      </c>
      <c r="B37" s="17" t="n"/>
      <c r="C37" s="17" t="n"/>
      <c r="D37" s="17" t="n"/>
      <c r="E37" s="17" t="n"/>
      <c r="F37" s="17" t="n">
        <v>9800</v>
      </c>
      <c r="G37" s="17" t="n"/>
      <c r="H37" s="17" t="n"/>
      <c r="I37" s="17" t="n"/>
      <c r="J37" s="17" t="n">
        <v>9800</v>
      </c>
      <c r="K37" s="17" t="n"/>
      <c r="L37" s="17" t="n"/>
      <c r="M37" s="17" t="n"/>
      <c r="N37" s="17" t="n"/>
      <c r="O37" s="12">
        <f>SUM(B37:N37)</f>
        <v/>
      </c>
    </row>
    <row r="38">
      <c r="A38" s="16" t="inlineStr">
        <is>
          <t>Insurance and bond premiums</t>
        </is>
      </c>
      <c r="B38" s="17" t="n"/>
      <c r="C38" s="17" t="n"/>
      <c r="D38" s="17" t="n">
        <v>6200</v>
      </c>
      <c r="E38" s="17" t="n"/>
      <c r="F38" s="17" t="n"/>
      <c r="G38" s="17" t="n"/>
      <c r="H38" s="17" t="n">
        <v>6200</v>
      </c>
      <c r="I38" s="17" t="n"/>
      <c r="J38" s="17" t="n"/>
      <c r="K38" s="17" t="n"/>
      <c r="L38" s="17" t="n">
        <v>6200</v>
      </c>
      <c r="M38" s="17" t="n"/>
      <c r="N38" s="17" t="n"/>
      <c r="O38" s="12">
        <f>SUM(B38:N38)</f>
        <v/>
      </c>
    </row>
    <row r="39">
      <c r="A39" s="16" t="inlineStr">
        <is>
          <t>Debt service: loans and line of credit interest</t>
        </is>
      </c>
      <c r="B39" s="17" t="n"/>
      <c r="C39" s="17" t="n"/>
      <c r="D39" s="17" t="n"/>
      <c r="E39" s="17" t="n">
        <v>4600</v>
      </c>
      <c r="F39" s="17" t="n"/>
      <c r="G39" s="17" t="n"/>
      <c r="H39" s="17" t="n"/>
      <c r="I39" s="17" t="n">
        <v>4600</v>
      </c>
      <c r="J39" s="17" t="n"/>
      <c r="K39" s="17" t="n"/>
      <c r="L39" s="17" t="n"/>
      <c r="M39" s="17" t="n">
        <v>4600</v>
      </c>
      <c r="N39" s="17" t="n"/>
      <c r="O39" s="12">
        <f>SUM(B39:N39)</f>
        <v/>
      </c>
    </row>
    <row r="40">
      <c r="A40" s="16" t="inlineStr">
        <is>
          <t>Owner pay and distributions</t>
        </is>
      </c>
      <c r="B40" s="17" t="n"/>
      <c r="C40" s="17" t="n"/>
      <c r="D40" s="17" t="n"/>
      <c r="E40" s="17" t="n">
        <v>8000</v>
      </c>
      <c r="F40" s="17" t="n"/>
      <c r="G40" s="17" t="n"/>
      <c r="H40" s="17" t="n"/>
      <c r="I40" s="17" t="n">
        <v>8000</v>
      </c>
      <c r="J40" s="17" t="n"/>
      <c r="K40" s="17" t="n"/>
      <c r="L40" s="17" t="n"/>
      <c r="M40" s="17" t="n">
        <v>8000</v>
      </c>
      <c r="N40" s="17" t="n"/>
      <c r="O40" s="12">
        <f>SUM(B40:N40)</f>
        <v/>
      </c>
    </row>
    <row r="41">
      <c r="A41" s="16" t="inlineStr">
        <is>
          <t>Tax payments</t>
        </is>
      </c>
      <c r="B41" s="18" t="n"/>
      <c r="C41" s="18" t="n"/>
      <c r="D41" s="18" t="n"/>
      <c r="E41" s="18" t="n"/>
      <c r="F41" s="18" t="n"/>
      <c r="G41" s="18" t="n"/>
      <c r="H41" s="18" t="n"/>
      <c r="I41" s="18" t="n"/>
      <c r="J41" s="18" t="n"/>
      <c r="K41" s="18" t="n"/>
      <c r="L41" s="18" t="n"/>
      <c r="M41" s="18" t="n"/>
      <c r="N41" s="18" t="n"/>
      <c r="O41" s="12">
        <f>SUM(B41:N41)</f>
        <v/>
      </c>
    </row>
    <row r="42">
      <c r="A42" s="16" t="inlineStr">
        <is>
          <t>Other payments</t>
        </is>
      </c>
      <c r="B42" s="18" t="n"/>
      <c r="C42" s="18" t="n"/>
      <c r="D42" s="18" t="n"/>
      <c r="E42" s="18" t="n"/>
      <c r="F42" s="18" t="n"/>
      <c r="G42" s="18" t="n"/>
      <c r="H42" s="18" t="n"/>
      <c r="I42" s="18" t="n"/>
      <c r="J42" s="18" t="n"/>
      <c r="K42" s="18" t="n"/>
      <c r="L42" s="18" t="n"/>
      <c r="M42" s="18" t="n"/>
      <c r="N42" s="18" t="n"/>
      <c r="O42" s="12">
        <f>SUM(B42:N42)</f>
        <v/>
      </c>
    </row>
    <row r="43">
      <c r="A43" s="11" t="inlineStr">
        <is>
          <t>TOTAL CASH OUT</t>
        </is>
      </c>
      <c r="B43" s="20">
        <f>SUM(B32:B42)</f>
        <v/>
      </c>
      <c r="C43" s="20">
        <f>SUM(C32:C42)</f>
        <v/>
      </c>
      <c r="D43" s="20">
        <f>SUM(D32:D42)</f>
        <v/>
      </c>
      <c r="E43" s="20">
        <f>SUM(E32:E42)</f>
        <v/>
      </c>
      <c r="F43" s="20">
        <f>SUM(F32:F42)</f>
        <v/>
      </c>
      <c r="G43" s="20">
        <f>SUM(G32:G42)</f>
        <v/>
      </c>
      <c r="H43" s="20">
        <f>SUM(H32:H42)</f>
        <v/>
      </c>
      <c r="I43" s="20">
        <f>SUM(I32:I42)</f>
        <v/>
      </c>
      <c r="J43" s="20">
        <f>SUM(J32:J42)</f>
        <v/>
      </c>
      <c r="K43" s="20">
        <f>SUM(K32:K42)</f>
        <v/>
      </c>
      <c r="L43" s="20">
        <f>SUM(L32:L42)</f>
        <v/>
      </c>
      <c r="M43" s="20">
        <f>SUM(M32:M42)</f>
        <v/>
      </c>
      <c r="N43" s="20">
        <f>SUM(N32:N42)</f>
        <v/>
      </c>
      <c r="O43" s="20">
        <f>SUM(O32:O42)</f>
        <v/>
      </c>
    </row>
    <row r="44">
      <c r="A44" s="13" t="n"/>
      <c r="B44" s="13" t="n"/>
      <c r="C44" s="13" t="n"/>
      <c r="D44" s="13" t="n"/>
      <c r="E44" s="13" t="n"/>
      <c r="F44" s="13" t="n"/>
      <c r="G44" s="13" t="n"/>
      <c r="H44" s="13" t="n"/>
      <c r="I44" s="13" t="n"/>
      <c r="J44" s="13" t="n"/>
      <c r="K44" s="13" t="n"/>
      <c r="L44" s="13" t="n"/>
      <c r="M44" s="13" t="n"/>
      <c r="N44" s="13" t="n"/>
      <c r="O44" s="13" t="n"/>
    </row>
    <row r="45">
      <c r="A45" s="11" t="inlineStr">
        <is>
          <t>Net cash flow (in minus out)</t>
        </is>
      </c>
      <c r="B45" s="12">
        <f>B29-B43</f>
        <v/>
      </c>
      <c r="C45" s="12">
        <f>C29-C43</f>
        <v/>
      </c>
      <c r="D45" s="12">
        <f>D29-D43</f>
        <v/>
      </c>
      <c r="E45" s="12">
        <f>E29-E43</f>
        <v/>
      </c>
      <c r="F45" s="12">
        <f>F29-F43</f>
        <v/>
      </c>
      <c r="G45" s="12">
        <f>G29-G43</f>
        <v/>
      </c>
      <c r="H45" s="12">
        <f>H29-H43</f>
        <v/>
      </c>
      <c r="I45" s="12">
        <f>I29-I43</f>
        <v/>
      </c>
      <c r="J45" s="12">
        <f>J29-J43</f>
        <v/>
      </c>
      <c r="K45" s="12">
        <f>K29-K43</f>
        <v/>
      </c>
      <c r="L45" s="12">
        <f>L29-L43</f>
        <v/>
      </c>
      <c r="M45" s="12">
        <f>M29-M43</f>
        <v/>
      </c>
      <c r="N45" s="12">
        <f>N29-N43</f>
        <v/>
      </c>
      <c r="O45" s="12">
        <f>O29-O43</f>
        <v/>
      </c>
    </row>
    <row r="46">
      <c r="A46" s="16" t="inlineStr">
        <is>
          <t>Line of credit draw / (repayment)</t>
        </is>
      </c>
      <c r="B46" s="18" t="n"/>
      <c r="C46" s="18" t="n"/>
      <c r="D46" s="18" t="n"/>
      <c r="E46" s="18" t="n"/>
      <c r="F46" s="18" t="n"/>
      <c r="G46" s="18" t="n"/>
      <c r="H46" s="18" t="n"/>
      <c r="I46" s="18" t="n"/>
      <c r="J46" s="18" t="n"/>
      <c r="K46" s="18" t="n"/>
      <c r="L46" s="18" t="n"/>
      <c r="M46" s="18" t="n"/>
      <c r="N46" s="18" t="n"/>
      <c r="O46" s="12">
        <f>SUM(B46:N46)</f>
        <v/>
      </c>
    </row>
    <row r="47">
      <c r="A47" s="21" t="inlineStr">
        <is>
          <t>ENDING CASH</t>
        </is>
      </c>
      <c r="B47" s="22">
        <f>B7+B45+B46</f>
        <v/>
      </c>
      <c r="C47" s="22">
        <f>C7+C45+C46</f>
        <v/>
      </c>
      <c r="D47" s="22">
        <f>D7+D45+D46</f>
        <v/>
      </c>
      <c r="E47" s="22">
        <f>E7+E45+E46</f>
        <v/>
      </c>
      <c r="F47" s="22">
        <f>F7+F45+F46</f>
        <v/>
      </c>
      <c r="G47" s="22">
        <f>G7+G45+G46</f>
        <v/>
      </c>
      <c r="H47" s="22">
        <f>H7+H45+H46</f>
        <v/>
      </c>
      <c r="I47" s="22">
        <f>I7+I45+I46</f>
        <v/>
      </c>
      <c r="J47" s="22">
        <f>J7+J45+J46</f>
        <v/>
      </c>
      <c r="K47" s="22">
        <f>K7+K45+K46</f>
        <v/>
      </c>
      <c r="L47" s="22">
        <f>L7+L45+L46</f>
        <v/>
      </c>
      <c r="M47" s="22">
        <f>M7+M45+M46</f>
        <v/>
      </c>
      <c r="N47" s="22">
        <f>N7+N45+N46</f>
        <v/>
      </c>
      <c r="O47" s="23">
        <f>N47</f>
        <v/>
      </c>
    </row>
    <row r="48">
      <c r="A48" s="9" t="inlineStr">
        <is>
          <t>Cushion check</t>
        </is>
      </c>
      <c r="B48" s="24">
        <f>IF(B47&lt;Setup!$B$8,"BELOW CUSHION","OK")</f>
        <v/>
      </c>
      <c r="C48" s="24">
        <f>IF(C47&lt;Setup!$B$8,"BELOW CUSHION","OK")</f>
        <v/>
      </c>
      <c r="D48" s="24">
        <f>IF(D47&lt;Setup!$B$8,"BELOW CUSHION","OK")</f>
        <v/>
      </c>
      <c r="E48" s="24">
        <f>IF(E47&lt;Setup!$B$8,"BELOW CUSHION","OK")</f>
        <v/>
      </c>
      <c r="F48" s="24">
        <f>IF(F47&lt;Setup!$B$8,"BELOW CUSHION","OK")</f>
        <v/>
      </c>
      <c r="G48" s="24">
        <f>IF(G47&lt;Setup!$B$8,"BELOW CUSHION","OK")</f>
        <v/>
      </c>
      <c r="H48" s="24">
        <f>IF(H47&lt;Setup!$B$8,"BELOW CUSHION","OK")</f>
        <v/>
      </c>
      <c r="I48" s="24">
        <f>IF(I47&lt;Setup!$B$8,"BELOW CUSHION","OK")</f>
        <v/>
      </c>
      <c r="J48" s="24">
        <f>IF(J47&lt;Setup!$B$8,"BELOW CUSHION","OK")</f>
        <v/>
      </c>
      <c r="K48" s="24">
        <f>IF(K47&lt;Setup!$B$8,"BELOW CUSHION","OK")</f>
        <v/>
      </c>
      <c r="L48" s="24">
        <f>IF(L47&lt;Setup!$B$8,"BELOW CUSHION","OK")</f>
        <v/>
      </c>
      <c r="M48" s="24">
        <f>IF(M47&lt;Setup!$B$8,"BELOW CUSHION","OK")</f>
        <v/>
      </c>
      <c r="N48" s="24">
        <f>IF(N47&lt;Setup!$B$8,"BELOW CUSHION","OK")</f>
        <v/>
      </c>
    </row>
    <row r="50">
      <c r="A50" s="9" t="inlineStr">
        <is>
          <t>Lowest projected ending cash</t>
        </is>
      </c>
      <c r="B50" s="25">
        <f>MIN(B47:N47)</f>
        <v/>
      </c>
    </row>
    <row r="51">
      <c r="A51" s="9" t="inlineStr">
        <is>
          <t>Week of lowest balance</t>
        </is>
      </c>
      <c r="B51" s="26">
        <f>INDEX(B5:N5,MATCH(B50,B47:N47,0))</f>
        <v/>
      </c>
    </row>
    <row r="52">
      <c r="A52" s="9" t="inlineStr">
        <is>
          <t>Weeks below cushion</t>
        </is>
      </c>
      <c r="B52" s="26">
        <f>COUNTIF(B48:N48,"BELOW CUSHION")</f>
        <v/>
      </c>
    </row>
    <row r="53">
      <c r="A53" s="4" t="inlineStr">
        <is>
          <t>Check: beginning + 13-week net + line of credit = ending</t>
        </is>
      </c>
      <c r="B53" s="4">
        <f>IF(ROUND(O7+O45+O46-O47,2)=0,"Ties","Does not tie")</f>
        <v/>
      </c>
    </row>
    <row r="55">
      <c r="A55" s="4" t="inlineStr">
        <is>
          <t>Provided free by Xtrategist CPA, construction CPA in Atlanta, GA  |  xtrategist.com  |  (678) 401-6118</t>
        </is>
      </c>
    </row>
  </sheetData>
  <conditionalFormatting sqref="B48:N48">
    <cfRule type="cellIs" priority="1" operator="equal" dxfId="0">
      <formula>"BELOW CUSHION"</formula>
    </cfRule>
  </conditionalFormatting>
  <conditionalFormatting sqref="B47:N47">
    <cfRule type="expression" priority="2" dxfId="1">
      <formula>B47&lt;Setup!$B$8</formula>
    </cfRule>
  </conditionalFormatting>
  <printOptions horizontalCentered="1"/>
  <pageMargins left="0.4" right="0.4" top="0.5" bottom="0.5" header="0.5" footer="0.5"/>
  <pageSetup orientation="landscape" paperSize="1" fitToHeight="0" fitToWidth="1"/>
  <headerFooter>
    <oddHeader/>
    <oddFooter>&amp;LXtrategist CPA  |  xtrategist.com&amp;RPage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8"/>
  <sheetViews>
    <sheetView workbookViewId="0">
      <selection activeCell="A1" sqref="A1"/>
    </sheetView>
  </sheetViews>
  <sheetFormatPr baseColWidth="8" defaultRowHeight="15"/>
  <cols>
    <col width="40" customWidth="1" min="1" max="1"/>
    <col width="28" customWidth="1" min="2" max="2"/>
  </cols>
  <sheetData>
    <row r="1">
      <c r="A1" s="1" t="inlineStr">
        <is>
          <t>Forecast Setup</t>
        </is>
      </c>
    </row>
    <row r="2">
      <c r="A2" s="4" t="inlineStr">
        <is>
          <t>Provided free by Xtrategist CPA, construction CPA in Atlanta, GA  |  xtrategist.com  |  (678) 401-6118</t>
        </is>
      </c>
    </row>
    <row r="3">
      <c r="A3" s="6" t="inlineStr">
        <is>
          <t>Blue cells are inputs. Yellow = SAMPLE DATA.</t>
        </is>
      </c>
    </row>
    <row r="5">
      <c r="A5" s="9" t="inlineStr">
        <is>
          <t>Company name</t>
        </is>
      </c>
      <c r="B5" s="27" t="inlineStr">
        <is>
          <t>SAMPLE Contracting LLC</t>
        </is>
      </c>
    </row>
    <row r="6">
      <c r="A6" s="9" t="inlineStr">
        <is>
          <t>Cash in bank at start of week 1 ($)</t>
        </is>
      </c>
      <c r="B6" s="28" t="n">
        <v>185000</v>
      </c>
    </row>
    <row r="7">
      <c r="A7" s="9" t="inlineStr">
        <is>
          <t>Week 1 starts on (a Monday)</t>
        </is>
      </c>
      <c r="B7" s="29" t="n">
        <v>46328</v>
      </c>
    </row>
    <row r="8">
      <c r="A8" s="9" t="inlineStr">
        <is>
          <t>Minimum cash cushion ($)</t>
        </is>
      </c>
      <c r="B8" s="28" t="n">
        <v>75000</v>
      </c>
    </row>
  </sheetData>
  <printOptions horizontalCentered="1"/>
  <pageMargins left="0.4" right="0.4" top="0.5" bottom="0.5" header="0.5" footer="0.5"/>
  <pageSetup orientation="portrait" paperSize="1" fitToHeight="0" fitToWidth="1"/>
  <headerFooter>
    <oddHeader/>
    <oddFooter>&amp;LXtrategist CPA  |  xtrategist.com&amp;RPage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1" customWidth="1" min="3" max="3"/>
    <col width="16" customWidth="1" min="4" max="4"/>
    <col width="16" customWidth="1" min="5" max="5"/>
    <col width="12" customWidth="1" min="6" max="6"/>
    <col width="14" customWidth="1" min="7" max="7"/>
    <col width="16" customWidth="1" min="8" max="8"/>
    <col width="40" customWidth="1" min="9" max="9"/>
  </cols>
  <sheetData>
    <row r="1">
      <c r="A1" s="1" t="inlineStr">
        <is>
          <t>Retainage Receivable by Job</t>
        </is>
      </c>
    </row>
    <row r="2">
      <c r="A2" s="4" t="inlineStr">
        <is>
          <t>Provided free by Xtrategist CPA, construction CPA in Atlanta, GA  |  xtrategist.com  |  (678) 401-6118</t>
        </is>
      </c>
    </row>
    <row r="3">
      <c r="A3" s="6" t="inlineStr">
        <is>
          <t>Yellow rows are SAMPLE DATA. Release week = 1 to 13 to pull the release into the forecast; blank = later than 13 weeks.</t>
        </is>
      </c>
    </row>
    <row r="5" ht="40" customHeight="1">
      <c r="A5" s="8" t="inlineStr">
        <is>
          <t>Job</t>
        </is>
      </c>
      <c r="B5" s="8" t="inlineStr">
        <is>
          <t>Contract ($)</t>
        </is>
      </c>
      <c r="C5" s="8" t="inlineStr">
        <is>
          <t>Retainage %</t>
        </is>
      </c>
      <c r="D5" s="8" t="inlineStr">
        <is>
          <t>Billed to Date ($)</t>
        </is>
      </c>
      <c r="E5" s="8" t="inlineStr">
        <is>
          <t>Retainage Held ($)</t>
        </is>
      </c>
      <c r="F5" s="8" t="inlineStr">
        <is>
          <t>% Expected Released</t>
        </is>
      </c>
      <c r="G5" s="8" t="inlineStr">
        <is>
          <t>Expected Release Week (1 to 13)</t>
        </is>
      </c>
      <c r="H5" s="8" t="inlineStr">
        <is>
          <t>Amount in Forecast ($)</t>
        </is>
      </c>
      <c r="I5" s="8" t="inlineStr">
        <is>
          <t>Notes</t>
        </is>
      </c>
    </row>
    <row r="6">
      <c r="A6" s="30" t="inlineStr">
        <is>
          <t>SAMPLE 101 Office buildout</t>
        </is>
      </c>
      <c r="B6" s="17" t="n">
        <v>1025000</v>
      </c>
      <c r="C6" s="31" t="n">
        <v>0.1</v>
      </c>
      <c r="D6" s="17" t="n">
        <v>980000</v>
      </c>
      <c r="E6" s="19">
        <f>IF(A6="","",D6*C6)</f>
        <v/>
      </c>
      <c r="F6" s="31" t="n">
        <v>1</v>
      </c>
      <c r="G6" s="32" t="n">
        <v>6</v>
      </c>
      <c r="H6" s="19">
        <f>IF(OR(A6="",G6=""),0,E6*N(F6))</f>
        <v/>
      </c>
      <c r="I6" s="30" t="inlineStr">
        <is>
          <t>Closeout docs submitted</t>
        </is>
      </c>
    </row>
    <row r="7">
      <c r="A7" s="30" t="inlineStr">
        <is>
          <t>SAMPLE 102 Retail shell</t>
        </is>
      </c>
      <c r="B7" s="17" t="n">
        <v>640000</v>
      </c>
      <c r="C7" s="31" t="n">
        <v>0.1</v>
      </c>
      <c r="D7" s="17" t="n">
        <v>320000</v>
      </c>
      <c r="E7" s="19">
        <f>IF(A7="","",D7*C7)</f>
        <v/>
      </c>
      <c r="F7" s="31" t="n">
        <v>0.5</v>
      </c>
      <c r="G7" s="32" t="n">
        <v>11</v>
      </c>
      <c r="H7" s="19">
        <f>IF(OR(A7="",G7=""),0,E7*N(F7))</f>
        <v/>
      </c>
      <c r="I7" s="30" t="inlineStr">
        <is>
          <t>Reduction to 5% at 50% complete requested</t>
        </is>
      </c>
    </row>
    <row r="8">
      <c r="A8" s="30" t="inlineStr">
        <is>
          <t>SAMPLE 103 Church addition</t>
        </is>
      </c>
      <c r="B8" s="17" t="n">
        <v>1480000</v>
      </c>
      <c r="C8" s="31" t="n">
        <v>0.05</v>
      </c>
      <c r="D8" s="17" t="n">
        <v>410000</v>
      </c>
      <c r="E8" s="19">
        <f>IF(A8="","",D8*C8)</f>
        <v/>
      </c>
      <c r="F8" s="31" t="n">
        <v>1</v>
      </c>
      <c r="G8" s="32" t="n"/>
      <c r="H8" s="19">
        <f>IF(OR(A8="",G8=""),0,E8*N(F8))</f>
        <v/>
      </c>
      <c r="I8" s="30" t="inlineStr">
        <is>
          <t>Release after project close</t>
        </is>
      </c>
    </row>
    <row r="9">
      <c r="A9" s="30" t="inlineStr">
        <is>
          <t>SAMPLE 104 Medical office</t>
        </is>
      </c>
      <c r="B9" s="17" t="n">
        <v>860000</v>
      </c>
      <c r="C9" s="31" t="n">
        <v>0.1</v>
      </c>
      <c r="D9" s="17" t="n">
        <v>860000</v>
      </c>
      <c r="E9" s="19">
        <f>IF(A9="","",D9*C9)</f>
        <v/>
      </c>
      <c r="F9" s="31" t="n">
        <v>1</v>
      </c>
      <c r="G9" s="32" t="n">
        <v>3</v>
      </c>
      <c r="H9" s="19">
        <f>IF(OR(A9="",G9=""),0,E9*N(F9))</f>
        <v/>
      </c>
      <c r="I9" s="30" t="inlineStr">
        <is>
          <t>Punch list done</t>
        </is>
      </c>
    </row>
    <row r="10">
      <c r="A10" s="33" t="n"/>
      <c r="B10" s="18" t="n"/>
      <c r="C10" s="34" t="n"/>
      <c r="D10" s="18" t="n"/>
      <c r="E10" s="19">
        <f>IF(A10="","",D10*C10)</f>
        <v/>
      </c>
      <c r="F10" s="34" t="n"/>
      <c r="G10" s="35" t="n"/>
      <c r="H10" s="19">
        <f>IF(OR(A10="",G10=""),0,E10*N(F10))</f>
        <v/>
      </c>
      <c r="I10" s="33" t="n"/>
    </row>
    <row r="11">
      <c r="A11" s="33" t="n"/>
      <c r="B11" s="18" t="n"/>
      <c r="C11" s="34" t="n"/>
      <c r="D11" s="18" t="n"/>
      <c r="E11" s="19">
        <f>IF(A11="","",D11*C11)</f>
        <v/>
      </c>
      <c r="F11" s="34" t="n"/>
      <c r="G11" s="35" t="n"/>
      <c r="H11" s="19">
        <f>IF(OR(A11="",G11=""),0,E11*N(F11))</f>
        <v/>
      </c>
      <c r="I11" s="33" t="n"/>
    </row>
    <row r="12">
      <c r="A12" s="33" t="n"/>
      <c r="B12" s="18" t="n"/>
      <c r="C12" s="34" t="n"/>
      <c r="D12" s="18" t="n"/>
      <c r="E12" s="19">
        <f>IF(A12="","",D12*C12)</f>
        <v/>
      </c>
      <c r="F12" s="34" t="n"/>
      <c r="G12" s="35" t="n"/>
      <c r="H12" s="19">
        <f>IF(OR(A12="",G12=""),0,E12*N(F12))</f>
        <v/>
      </c>
      <c r="I12" s="33" t="n"/>
    </row>
    <row r="13">
      <c r="A13" s="33" t="n"/>
      <c r="B13" s="18" t="n"/>
      <c r="C13" s="34" t="n"/>
      <c r="D13" s="18" t="n"/>
      <c r="E13" s="19">
        <f>IF(A13="","",D13*C13)</f>
        <v/>
      </c>
      <c r="F13" s="34" t="n"/>
      <c r="G13" s="35" t="n"/>
      <c r="H13" s="19">
        <f>IF(OR(A13="",G13=""),0,E13*N(F13))</f>
        <v/>
      </c>
      <c r="I13" s="33" t="n"/>
    </row>
    <row r="14">
      <c r="A14" s="9" t="inlineStr">
        <is>
          <t>TOTAL</t>
        </is>
      </c>
      <c r="B14" s="36">
        <f>SUM(B6:B13)</f>
        <v/>
      </c>
      <c r="D14" s="36">
        <f>SUM(D6:D13)</f>
        <v/>
      </c>
      <c r="E14" s="36">
        <f>SUM(E6:E13)</f>
        <v/>
      </c>
      <c r="H14" s="36">
        <f>SUM(H6:H13)</f>
        <v/>
      </c>
    </row>
  </sheetData>
  <printOptions horizontalCentered="1"/>
  <pageMargins left="0.4" right="0.4" top="0.5" bottom="0.5" header="0.5" footer="0.5"/>
  <pageSetup orientation="landscape" paperSize="1" fitToHeight="0" fitToWidth="1"/>
  <headerFooter>
    <oddHeader/>
    <oddFooter>&amp;LXtrategist CPA  |  xtrategist.com&amp;RPage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2026-10-20T20:42:51Z</dcterms:created>
  <dcterms:modified xmlns:dcterms="http://purl.org/dc/terms/" xmlns:xsi="http://www.w3.org/2001/XMLSchema-instance" xsi:type="dcterms:W3CDTF">2026-10-20T20:42:51Z</dcterms:modified>
</cp:coreProperties>
</file>